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1Üleandmised\Rae vald\Kangrumetsa tee\"/>
    </mc:Choice>
  </mc:AlternateContent>
  <xr:revisionPtr revIDLastSave="0" documentId="13_ncr:1_{7A65318A-1EBD-43CD-A0FD-72CB1D47B651}" xr6:coauthVersionLast="47" xr6:coauthVersionMax="47" xr10:uidLastSave="{00000000-0000-0000-0000-000000000000}"/>
  <bookViews>
    <workbookView xWindow="22932" yWindow="624" windowWidth="30936" windowHeight="16776" xr2:uid="{CC83E8F5-D8DB-4CDB-92FD-A61EFEA17267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4" i="1" l="1"/>
  <c r="B36" i="1" l="1"/>
  <c r="D17" i="1" l="1"/>
  <c r="D18" i="1"/>
  <c r="F11" i="1"/>
  <c r="H12" i="1" l="1"/>
  <c r="H13" i="1"/>
  <c r="M26" i="1" l="1"/>
  <c r="M24" i="1"/>
  <c r="D34" i="1" l="1"/>
  <c r="I15" i="1" a="1"/>
  <c r="I15" i="1" s="1"/>
  <c r="H21" i="1"/>
  <c r="H20" i="1"/>
  <c r="H19" i="1"/>
  <c r="H18" i="1"/>
  <c r="H17" i="1"/>
  <c r="F21" i="1"/>
  <c r="F20" i="1"/>
  <c r="F19" i="1"/>
  <c r="F18" i="1"/>
  <c r="F17" i="1"/>
  <c r="D21" i="1"/>
  <c r="D20" i="1"/>
  <c r="D19" i="1"/>
  <c r="H11" i="1"/>
  <c r="H10" i="1"/>
  <c r="F14" i="1"/>
  <c r="F13" i="1"/>
  <c r="F12" i="1"/>
  <c r="F10" i="1"/>
  <c r="D14" i="1"/>
  <c r="D13" i="1"/>
  <c r="D12" i="1"/>
  <c r="D11" i="1"/>
  <c r="D10" i="1"/>
  <c r="K24" i="1"/>
  <c r="K25" i="1"/>
  <c r="K26" i="1"/>
  <c r="K27" i="1"/>
  <c r="K28" i="1"/>
  <c r="M25" i="1"/>
  <c r="M27" i="1"/>
  <c r="M28" i="1"/>
  <c r="I23" i="1" l="1" a="1"/>
  <c r="I23" i="1" s="1"/>
  <c r="N31" i="1"/>
  <c r="I16" i="1" a="1"/>
  <c r="I16" i="1" s="1"/>
  <c r="N30" i="1" a="1"/>
  <c r="N30" i="1" s="1"/>
  <c r="N32" i="1" l="1"/>
  <c r="I37" i="1" s="1"/>
  <c r="I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<sst xmlns="http://schemas.openxmlformats.org/spreadsheetml/2006/main" count="56" uniqueCount="42">
  <si>
    <t>Tee tüüp</t>
  </si>
  <si>
    <t>Kattega maantee</t>
  </si>
  <si>
    <t>Kruusatee</t>
  </si>
  <si>
    <t xml:space="preserve">&gt;8 </t>
  </si>
  <si>
    <t xml:space="preserve">7,1-8 </t>
  </si>
  <si>
    <t xml:space="preserve">5,6-7 </t>
  </si>
  <si>
    <t xml:space="preserve">4,5-5,5 </t>
  </si>
  <si>
    <t xml:space="preserve">&lt;4,5 </t>
  </si>
  <si>
    <t xml:space="preserve"> &gt;1000 </t>
  </si>
  <si>
    <t xml:space="preserve">251-1000 </t>
  </si>
  <si>
    <t xml:space="preserve">≤ 250   </t>
  </si>
  <si>
    <t xml:space="preserve">51…200 </t>
  </si>
  <si>
    <t>≤ 50</t>
  </si>
  <si>
    <t xml:space="preserve"> Kattega teel          liiklussagedusega   a/ööp               </t>
  </si>
  <si>
    <t>Katte või kruusatee   laius, m</t>
  </si>
  <si>
    <t xml:space="preserve">Kruusateel liiklussagedusega  a/ööp  </t>
  </si>
  <si>
    <t>Kattega tänav koos kõnniteedega</t>
  </si>
  <si>
    <t>Raha</t>
  </si>
  <si>
    <t>Tee või teeosa pikkus, km /Teehoiu rahastamine €</t>
  </si>
  <si>
    <t>Kokku kattega  maantee pikkus, km</t>
  </si>
  <si>
    <t>Rahastus kattega maantee eest, €</t>
  </si>
  <si>
    <t>Kokku kattega tänava pikkus, km</t>
  </si>
  <si>
    <t>Rahastus kattega tänava eest, €</t>
  </si>
  <si>
    <t>Kokku</t>
  </si>
  <si>
    <t>kokku</t>
  </si>
  <si>
    <t>Kokku kruusatee pikkus, km</t>
  </si>
  <si>
    <t>Rahastus kruusatee eest, €</t>
  </si>
  <si>
    <t>Kokku üleantava sõidutee pikkus,  km</t>
  </si>
  <si>
    <t>Rahastus omaette kergliiklustee eest, €</t>
  </si>
  <si>
    <r>
      <t>Silla pindala, m</t>
    </r>
    <r>
      <rPr>
        <sz val="11"/>
        <color theme="1"/>
        <rFont val="Calibri"/>
        <family val="2"/>
        <charset val="186"/>
      </rPr>
      <t>²</t>
    </r>
  </si>
  <si>
    <t>Rahastus silla eest, €</t>
  </si>
  <si>
    <t>Aastane teehoiu rahastus üleantavate teerajatiste eest kokku, €</t>
  </si>
  <si>
    <t>Omaette kergliiklustee pikkus, km</t>
  </si>
  <si>
    <t>Kokku rahastus üleantava sõidutee eest,  €</t>
  </si>
  <si>
    <t xml:space="preserve">Üleantava riigitee teehoiu kulude arvestus  </t>
  </si>
  <si>
    <r>
      <t xml:space="preserve">Kohalik omavalitsus: </t>
    </r>
    <r>
      <rPr>
        <b/>
        <sz val="12"/>
        <color theme="1"/>
        <rFont val="Calibri"/>
        <family val="2"/>
        <charset val="186"/>
        <scheme val="minor"/>
      </rPr>
      <t>Rae vald</t>
    </r>
  </si>
  <si>
    <r>
      <t>Tee nr:</t>
    </r>
    <r>
      <rPr>
        <b/>
        <sz val="12"/>
        <color theme="1"/>
        <rFont val="Calibri"/>
        <family val="2"/>
        <charset val="186"/>
        <scheme val="minor"/>
      </rPr>
      <t>11507</t>
    </r>
  </si>
  <si>
    <r>
      <t xml:space="preserve">Tee nimi: </t>
    </r>
    <r>
      <rPr>
        <b/>
        <sz val="12"/>
        <color theme="1"/>
        <rFont val="Calibri"/>
        <family val="2"/>
        <charset val="186"/>
        <scheme val="minor"/>
      </rPr>
      <t xml:space="preserve"> Kangrumetsa tee</t>
    </r>
  </si>
  <si>
    <t>Alus: Vabariigi Valitsuse 6. veebruari 2015. a määrus nr 16 „Riigieelarve seaduses kohaliku omavalitsuse üksustele määratud toetusfondi vahendite jaotamise ja kasutamise tingimused ja kord“. Andmed teeregistrist seisuga 01.01.2025.</t>
  </si>
  <si>
    <t>2026. a eraldab Transpordiamet x  vallale üleantava riigitee teehoiu kulude katmiseks vahendid y  kuuks alates z kuust summas   €</t>
  </si>
  <si>
    <t>Eelarveaasta jooksul kohaliku omavalitsuse üksusele riigitee üleandmisel eraldab Transpordiamet kohaliku omavalitsuse üksusele vahendid üle antud tee teehoiu kulude katmiseks kuni jooksva eelarveaasta lõpuni (2025.riigieelarve seadus  §10)</t>
  </si>
  <si>
    <r>
      <t xml:space="preserve">Üleantava teelõigu aadress km: </t>
    </r>
    <r>
      <rPr>
        <b/>
        <sz val="12"/>
        <color theme="1"/>
        <rFont val="Calibri"/>
        <family val="2"/>
        <charset val="186"/>
        <scheme val="minor"/>
      </rPr>
      <t xml:space="preserve"> põhiosa km 0,06 -1,044 ja  0,046 km pikkune lahusosa; 11865 Õlleköögi kergliiklustee km 0-0,134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</si>
</sst>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4"/>
      <color theme="1"/>
      <name val="Calibri"/>
      <family val="2"/>
      <charset val="186"/>
    </font>
    <font>
      <sz val="12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b/>
      <sz val="12"/>
      <color theme="1"/>
      <name val="Calibri"/>
      <family val="2"/>
      <charset val="186"/>
    </font>
    <font>
      <b/>
      <sz val="11"/>
      <color theme="1"/>
      <name val="Calibri"/>
      <family val="2"/>
      <charset val="186"/>
    </font>
    <font>
      <b/>
      <sz val="12"/>
      <color theme="1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gray0625">
        <fgColor theme="6" tint="-0.2499465926084170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65"/>
        <bgColor theme="9" tint="0.79998168889431442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horizontal="right" vertical="top"/>
    </xf>
    <xf numFmtId="0" fontId="2" fillId="0" borderId="0" xfId="0" applyFont="1" applyFill="1" applyBorder="1" applyAlignment="1">
      <alignment horizontal="center"/>
    </xf>
    <xf numFmtId="0" fontId="0" fillId="0" borderId="0" xfId="0" applyBorder="1"/>
    <xf numFmtId="0" fontId="0" fillId="0" borderId="20" xfId="0" applyFont="1" applyBorder="1"/>
    <xf numFmtId="0" fontId="0" fillId="0" borderId="21" xfId="0" applyFont="1" applyBorder="1"/>
    <xf numFmtId="0" fontId="0" fillId="0" borderId="14" xfId="0" applyFont="1" applyBorder="1" applyAlignment="1">
      <alignment horizontal="center"/>
    </xf>
    <xf numFmtId="0" fontId="0" fillId="0" borderId="14" xfId="0" applyFont="1" applyFill="1" applyBorder="1"/>
    <xf numFmtId="0" fontId="0" fillId="0" borderId="25" xfId="0" applyFont="1" applyBorder="1" applyAlignment="1">
      <alignment horizontal="center"/>
    </xf>
    <xf numFmtId="0" fontId="0" fillId="0" borderId="21" xfId="0" applyFont="1" applyFill="1" applyBorder="1"/>
    <xf numFmtId="1" fontId="0" fillId="0" borderId="17" xfId="0" applyNumberFormat="1" applyFont="1" applyBorder="1"/>
    <xf numFmtId="1" fontId="0" fillId="0" borderId="14" xfId="0" applyNumberFormat="1" applyFont="1" applyBorder="1"/>
    <xf numFmtId="1" fontId="0" fillId="0" borderId="16" xfId="0" applyNumberFormat="1" applyFont="1" applyBorder="1"/>
    <xf numFmtId="0" fontId="0" fillId="0" borderId="31" xfId="0" applyFont="1" applyBorder="1" applyAlignment="1">
      <alignment horizontal="center"/>
    </xf>
    <xf numFmtId="0" fontId="0" fillId="0" borderId="40" xfId="0" applyFont="1" applyFill="1" applyBorder="1"/>
    <xf numFmtId="1" fontId="0" fillId="0" borderId="41" xfId="0" applyNumberFormat="1" applyFont="1" applyBorder="1"/>
    <xf numFmtId="0" fontId="0" fillId="0" borderId="35" xfId="0" applyFont="1" applyBorder="1" applyAlignment="1">
      <alignment horizontal="center"/>
    </xf>
    <xf numFmtId="0" fontId="0" fillId="0" borderId="35" xfId="0" applyFont="1" applyFill="1" applyBorder="1"/>
    <xf numFmtId="1" fontId="0" fillId="0" borderId="35" xfId="0" applyNumberFormat="1" applyFont="1" applyBorder="1"/>
    <xf numFmtId="0" fontId="0" fillId="0" borderId="34" xfId="0" applyFont="1" applyFill="1" applyBorder="1"/>
    <xf numFmtId="1" fontId="0" fillId="0" borderId="34" xfId="0" applyNumberFormat="1" applyFont="1" applyBorder="1"/>
    <xf numFmtId="1" fontId="0" fillId="0" borderId="25" xfId="0" applyNumberFormat="1" applyFont="1" applyBorder="1"/>
    <xf numFmtId="1" fontId="0" fillId="0" borderId="31" xfId="0" applyNumberFormat="1" applyFont="1" applyBorder="1"/>
    <xf numFmtId="1" fontId="0" fillId="0" borderId="36" xfId="0" applyNumberFormat="1" applyFont="1" applyBorder="1"/>
    <xf numFmtId="0" fontId="4" fillId="2" borderId="11" xfId="0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0" fillId="0" borderId="29" xfId="0" applyNumberFormat="1" applyFont="1" applyBorder="1"/>
    <xf numFmtId="0" fontId="0" fillId="0" borderId="4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43" xfId="0" applyFont="1" applyFill="1" applyBorder="1" applyAlignment="1">
      <alignment horizontal="center" vertical="center"/>
    </xf>
    <xf numFmtId="1" fontId="4" fillId="6" borderId="12" xfId="0" applyNumberFormat="1" applyFont="1" applyFill="1" applyBorder="1" applyAlignment="1">
      <alignment horizontal="center" vertical="center"/>
    </xf>
    <xf numFmtId="0" fontId="0" fillId="5" borderId="4" xfId="0" applyFont="1" applyFill="1" applyBorder="1" applyAlignment="1"/>
    <xf numFmtId="0" fontId="0" fillId="5" borderId="1" xfId="0" applyFont="1" applyFill="1" applyBorder="1" applyAlignment="1"/>
    <xf numFmtId="0" fontId="4" fillId="3" borderId="11" xfId="0" applyFont="1" applyFill="1" applyBorder="1" applyAlignment="1">
      <alignment horizontal="center" vertical="center"/>
    </xf>
    <xf numFmtId="1" fontId="4" fillId="3" borderId="23" xfId="0" applyNumberFormat="1" applyFont="1" applyFill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1" fontId="4" fillId="0" borderId="38" xfId="0" applyNumberFormat="1" applyFont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1" fontId="1" fillId="0" borderId="38" xfId="0" applyNumberFormat="1" applyFont="1" applyBorder="1" applyAlignment="1">
      <alignment horizontal="center" vertical="center"/>
    </xf>
    <xf numFmtId="1" fontId="0" fillId="0" borderId="48" xfId="0" applyNumberFormat="1" applyFont="1" applyBorder="1"/>
    <xf numFmtId="0" fontId="0" fillId="0" borderId="34" xfId="0" applyFont="1" applyBorder="1" applyAlignment="1">
      <alignment horizontal="center"/>
    </xf>
    <xf numFmtId="0" fontId="0" fillId="0" borderId="53" xfId="0" applyFont="1" applyBorder="1" applyAlignment="1">
      <alignment horizontal="center"/>
    </xf>
    <xf numFmtId="0" fontId="0" fillId="0" borderId="52" xfId="0" applyFont="1" applyFill="1" applyBorder="1"/>
    <xf numFmtId="1" fontId="0" fillId="0" borderId="15" xfId="0" applyNumberFormat="1" applyFont="1" applyBorder="1"/>
    <xf numFmtId="1" fontId="0" fillId="0" borderId="56" xfId="0" applyNumberFormat="1" applyFont="1" applyBorder="1"/>
    <xf numFmtId="0" fontId="7" fillId="5" borderId="41" xfId="0" applyFont="1" applyFill="1" applyBorder="1" applyAlignment="1">
      <alignment horizontal="center" vertical="center"/>
    </xf>
    <xf numFmtId="0" fontId="0" fillId="0" borderId="33" xfId="0" applyBorder="1"/>
    <xf numFmtId="0" fontId="0" fillId="0" borderId="13" xfId="0" applyBorder="1" applyAlignment="1">
      <alignment horizontal="left" vertical="center" wrapText="1"/>
    </xf>
    <xf numFmtId="0" fontId="0" fillId="0" borderId="14" xfId="0" applyBorder="1"/>
    <xf numFmtId="0" fontId="0" fillId="0" borderId="17" xfId="0" applyBorder="1"/>
    <xf numFmtId="0" fontId="0" fillId="0" borderId="20" xfId="0" applyBorder="1"/>
    <xf numFmtId="0" fontId="0" fillId="0" borderId="15" xfId="0" applyBorder="1"/>
    <xf numFmtId="0" fontId="0" fillId="0" borderId="16" xfId="0" applyBorder="1"/>
    <xf numFmtId="0" fontId="0" fillId="0" borderId="21" xfId="0" applyBorder="1"/>
    <xf numFmtId="0" fontId="0" fillId="0" borderId="53" xfId="0" applyBorder="1"/>
    <xf numFmtId="0" fontId="0" fillId="9" borderId="10" xfId="0" applyFill="1" applyBorder="1"/>
    <xf numFmtId="1" fontId="4" fillId="0" borderId="15" xfId="0" applyNumberFormat="1" applyFont="1" applyBorder="1" applyAlignment="1">
      <alignment horizontal="center" vertical="center"/>
    </xf>
    <xf numFmtId="0" fontId="3" fillId="0" borderId="33" xfId="0" applyFont="1" applyBorder="1" applyAlignment="1"/>
    <xf numFmtId="0" fontId="0" fillId="0" borderId="0" xfId="0" applyBorder="1" applyAlignment="1"/>
    <xf numFmtId="0" fontId="0" fillId="0" borderId="0" xfId="0" applyAlignment="1"/>
    <xf numFmtId="0" fontId="3" fillId="0" borderId="54" xfId="0" applyFont="1" applyBorder="1" applyAlignment="1"/>
    <xf numFmtId="0" fontId="0" fillId="0" borderId="7" xfId="0" applyBorder="1" applyAlignment="1"/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0" fontId="3" fillId="0" borderId="0" xfId="0" applyFont="1" applyBorder="1" applyAlignment="1"/>
    <xf numFmtId="0" fontId="0" fillId="0" borderId="49" xfId="0" applyFont="1" applyBorder="1" applyAlignment="1">
      <alignment horizontal="center" vertical="top" wrapText="1"/>
    </xf>
    <xf numFmtId="0" fontId="0" fillId="0" borderId="25" xfId="0" applyBorder="1" applyAlignment="1">
      <alignment horizontal="center" vertical="top" wrapText="1"/>
    </xf>
    <xf numFmtId="0" fontId="0" fillId="0" borderId="20" xfId="0" applyFont="1" applyBorder="1" applyAlignment="1">
      <alignment horizontal="left" vertical="top"/>
    </xf>
    <xf numFmtId="0" fontId="0" fillId="0" borderId="21" xfId="0" applyFont="1" applyBorder="1" applyAlignment="1">
      <alignment horizontal="left" vertical="top"/>
    </xf>
    <xf numFmtId="0" fontId="3" fillId="0" borderId="21" xfId="0" applyFont="1" applyFill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40" xfId="0" applyFont="1" applyBorder="1" applyAlignment="1">
      <alignment vertical="center"/>
    </xf>
    <xf numFmtId="0" fontId="3" fillId="0" borderId="45" xfId="0" applyFont="1" applyFill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45" xfId="0" applyFont="1" applyFill="1" applyBorder="1" applyAlignment="1">
      <alignment vertical="center"/>
    </xf>
    <xf numFmtId="0" fontId="3" fillId="0" borderId="52" xfId="0" applyFont="1" applyBorder="1" applyAlignment="1">
      <alignment vertical="center"/>
    </xf>
    <xf numFmtId="0" fontId="0" fillId="3" borderId="26" xfId="0" applyFont="1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27" xfId="0" applyFont="1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0" borderId="8" xfId="0" applyFont="1" applyFill="1" applyBorder="1" applyAlignment="1">
      <alignment horizontal="right"/>
    </xf>
    <xf numFmtId="0" fontId="0" fillId="0" borderId="9" xfId="0" applyBorder="1" applyAlignment="1"/>
    <xf numFmtId="0" fontId="0" fillId="0" borderId="10" xfId="0" applyBorder="1" applyAlignment="1"/>
    <xf numFmtId="0" fontId="0" fillId="0" borderId="1" xfId="0" applyFont="1" applyFill="1" applyBorder="1" applyAlignment="1">
      <alignment horizontal="right"/>
    </xf>
    <xf numFmtId="0" fontId="0" fillId="0" borderId="2" xfId="0" applyBorder="1" applyAlignment="1"/>
    <xf numFmtId="0" fontId="0" fillId="4" borderId="1" xfId="0" applyFont="1" applyFill="1" applyBorder="1" applyAlignment="1"/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" fillId="0" borderId="8" xfId="0" applyFont="1" applyBorder="1" applyAlignment="1"/>
    <xf numFmtId="0" fontId="4" fillId="0" borderId="9" xfId="0" applyFont="1" applyBorder="1" applyAlignment="1"/>
    <xf numFmtId="0" fontId="0" fillId="0" borderId="0" xfId="0" applyAlignment="1">
      <alignment wrapText="1"/>
    </xf>
    <xf numFmtId="0" fontId="0" fillId="0" borderId="18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50" xfId="0" applyFont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/>
    <xf numFmtId="0" fontId="0" fillId="0" borderId="13" xfId="0" applyBorder="1" applyAlignment="1"/>
    <xf numFmtId="1" fontId="0" fillId="0" borderId="42" xfId="0" applyNumberFormat="1" applyFont="1" applyBorder="1" applyAlignment="1"/>
    <xf numFmtId="0" fontId="0" fillId="0" borderId="43" xfId="0" applyBorder="1" applyAlignment="1"/>
    <xf numFmtId="1" fontId="0" fillId="0" borderId="43" xfId="0" applyNumberFormat="1" applyFont="1" applyBorder="1" applyAlignment="1"/>
    <xf numFmtId="0" fontId="0" fillId="7" borderId="39" xfId="0" applyFill="1" applyBorder="1" applyAlignment="1">
      <alignment vertical="top"/>
    </xf>
    <xf numFmtId="0" fontId="0" fillId="7" borderId="32" xfId="0" applyFill="1" applyBorder="1" applyAlignment="1">
      <alignment vertical="top"/>
    </xf>
    <xf numFmtId="0" fontId="0" fillId="0" borderId="32" xfId="0" applyBorder="1" applyAlignment="1">
      <alignment vertical="top"/>
    </xf>
    <xf numFmtId="0" fontId="0" fillId="7" borderId="4" xfId="0" applyFill="1" applyBorder="1" applyAlignment="1">
      <alignment vertical="top"/>
    </xf>
    <xf numFmtId="0" fontId="0" fillId="7" borderId="0" xfId="0" applyFill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42" xfId="0" applyBorder="1" applyAlignment="1"/>
    <xf numFmtId="0" fontId="0" fillId="0" borderId="12" xfId="0" applyBorder="1" applyAlignment="1"/>
    <xf numFmtId="0" fontId="0" fillId="2" borderId="26" xfId="0" applyFont="1" applyFill="1" applyBorder="1" applyAlignment="1">
      <alignment horizontal="right"/>
    </xf>
    <xf numFmtId="0" fontId="0" fillId="2" borderId="30" xfId="0" applyFill="1" applyBorder="1" applyAlignment="1">
      <alignment horizontal="right"/>
    </xf>
    <xf numFmtId="0" fontId="0" fillId="0" borderId="30" xfId="0" applyBorder="1" applyAlignment="1"/>
    <xf numFmtId="0" fontId="0" fillId="2" borderId="27" xfId="0" applyFont="1" applyFill="1" applyBorder="1" applyAlignment="1">
      <alignment horizontal="right"/>
    </xf>
    <xf numFmtId="0" fontId="0" fillId="0" borderId="24" xfId="0" applyBorder="1" applyAlignment="1">
      <alignment horizontal="right"/>
    </xf>
    <xf numFmtId="0" fontId="0" fillId="0" borderId="24" xfId="0" applyBorder="1" applyAlignment="1"/>
    <xf numFmtId="0" fontId="0" fillId="6" borderId="26" xfId="0" applyFont="1" applyFill="1" applyBorder="1" applyAlignment="1">
      <alignment horizontal="right"/>
    </xf>
    <xf numFmtId="0" fontId="0" fillId="6" borderId="30" xfId="0" applyFill="1" applyBorder="1" applyAlignment="1"/>
    <xf numFmtId="0" fontId="0" fillId="8" borderId="27" xfId="0" applyFont="1" applyFill="1" applyBorder="1" applyAlignment="1">
      <alignment horizontal="right"/>
    </xf>
    <xf numFmtId="0" fontId="0" fillId="8" borderId="24" xfId="0" applyFill="1" applyBorder="1" applyAlignment="1">
      <alignment horizontal="right"/>
    </xf>
    <xf numFmtId="0" fontId="0" fillId="8" borderId="24" xfId="0" applyFill="1" applyBorder="1" applyAlignment="1"/>
    <xf numFmtId="0" fontId="2" fillId="7" borderId="44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7" borderId="33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7" borderId="54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4" borderId="6" xfId="0" applyFont="1" applyFill="1" applyBorder="1" applyAlignment="1"/>
    <xf numFmtId="0" fontId="0" fillId="0" borderId="57" xfId="0" applyBorder="1" applyAlignment="1"/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D374E-C80F-4331-B671-DB7C2C10F99C}">
  <dimension ref="A1:T41"/>
  <sheetViews>
    <sheetView tabSelected="1" workbookViewId="0">
      <selection activeCell="U20" sqref="U20"/>
    </sheetView>
  </sheetViews>
  <sheetFormatPr defaultRowHeight="15" x14ac:dyDescent="0.25"/>
  <cols>
    <col min="1" max="1" width="16.42578125" customWidth="1"/>
    <col min="2" max="2" width="10.85546875" customWidth="1"/>
    <col min="3" max="8" width="7.7109375" customWidth="1"/>
    <col min="9" max="9" width="10.7109375" customWidth="1"/>
    <col min="10" max="13" width="7.7109375" customWidth="1"/>
    <col min="14" max="14" width="10.42578125" customWidth="1"/>
  </cols>
  <sheetData>
    <row r="1" spans="1:18" ht="31.5" customHeight="1" x14ac:dyDescent="0.25">
      <c r="A1" s="69" t="s">
        <v>34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6"/>
      <c r="N1" s="66"/>
    </row>
    <row r="2" spans="1:18" ht="35.25" customHeight="1" x14ac:dyDescent="0.25">
      <c r="A2" s="70" t="s">
        <v>38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2"/>
      <c r="N2" s="72"/>
    </row>
    <row r="3" spans="1:18" ht="20.25" customHeight="1" x14ac:dyDescent="0.25">
      <c r="A3" s="64" t="s">
        <v>36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8" ht="20.25" customHeight="1" x14ac:dyDescent="0.25">
      <c r="A4" s="64" t="s">
        <v>37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6"/>
      <c r="N4" s="66"/>
    </row>
    <row r="5" spans="1:18" ht="20.25" customHeight="1" x14ac:dyDescent="0.25">
      <c r="A5" s="64" t="s">
        <v>41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6"/>
      <c r="N5" s="66"/>
    </row>
    <row r="6" spans="1:18" ht="20.25" customHeight="1" thickBot="1" x14ac:dyDescent="0.3">
      <c r="A6" s="67" t="s">
        <v>35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</row>
    <row r="7" spans="1:18" ht="15.75" thickBot="1" x14ac:dyDescent="0.3">
      <c r="A7" s="76" t="s">
        <v>0</v>
      </c>
      <c r="B7" s="74" t="s">
        <v>14</v>
      </c>
      <c r="C7" s="105" t="s">
        <v>18</v>
      </c>
      <c r="D7" s="105"/>
      <c r="E7" s="105"/>
      <c r="F7" s="105"/>
      <c r="G7" s="105"/>
      <c r="H7" s="105"/>
      <c r="I7" s="105"/>
      <c r="J7" s="105"/>
      <c r="K7" s="105"/>
      <c r="L7" s="105"/>
      <c r="M7" s="106"/>
      <c r="N7" s="107"/>
    </row>
    <row r="8" spans="1:18" ht="27" customHeight="1" thickBot="1" x14ac:dyDescent="0.3">
      <c r="A8" s="77"/>
      <c r="B8" s="75"/>
      <c r="C8" s="101" t="s">
        <v>13</v>
      </c>
      <c r="D8" s="102"/>
      <c r="E8" s="102"/>
      <c r="F8" s="102"/>
      <c r="G8" s="102"/>
      <c r="H8" s="103"/>
      <c r="I8" s="104"/>
      <c r="J8" s="101" t="s">
        <v>15</v>
      </c>
      <c r="K8" s="102"/>
      <c r="L8" s="102"/>
      <c r="M8" s="103"/>
      <c r="N8" s="108"/>
    </row>
    <row r="9" spans="1:18" ht="21.75" customHeight="1" thickBot="1" x14ac:dyDescent="0.3">
      <c r="A9" s="77"/>
      <c r="B9" s="75"/>
      <c r="C9" s="30" t="s">
        <v>8</v>
      </c>
      <c r="D9" s="31" t="s">
        <v>17</v>
      </c>
      <c r="E9" s="30" t="s">
        <v>9</v>
      </c>
      <c r="F9" s="31" t="s">
        <v>17</v>
      </c>
      <c r="G9" s="30" t="s">
        <v>10</v>
      </c>
      <c r="H9" s="32" t="s">
        <v>17</v>
      </c>
      <c r="I9" s="33" t="s">
        <v>23</v>
      </c>
      <c r="J9" s="34" t="s">
        <v>11</v>
      </c>
      <c r="K9" s="35" t="s">
        <v>17</v>
      </c>
      <c r="L9" s="35" t="s">
        <v>12</v>
      </c>
      <c r="M9" s="32" t="s">
        <v>17</v>
      </c>
      <c r="N9" s="36" t="s">
        <v>24</v>
      </c>
    </row>
    <row r="10" spans="1:18" x14ac:dyDescent="0.25">
      <c r="A10" s="78" t="s">
        <v>1</v>
      </c>
      <c r="B10" s="10" t="s">
        <v>3</v>
      </c>
      <c r="C10" s="57">
        <v>0.22</v>
      </c>
      <c r="D10" s="12">
        <f>2100*C10*1.06*1.31*2.27</f>
        <v>1456.2803640000002</v>
      </c>
      <c r="E10" s="7"/>
      <c r="F10" s="12">
        <f>2100*E10*1.06*1.31*1.65</f>
        <v>0</v>
      </c>
      <c r="G10" s="59"/>
      <c r="H10" s="23">
        <f>2100*G10*1.06*1.31*1.36</f>
        <v>0</v>
      </c>
      <c r="I10" s="109"/>
      <c r="J10" s="112"/>
      <c r="K10" s="113"/>
      <c r="L10" s="113"/>
      <c r="M10" s="114"/>
      <c r="N10" s="120"/>
    </row>
    <row r="11" spans="1:18" x14ac:dyDescent="0.25">
      <c r="A11" s="79"/>
      <c r="B11" s="10" t="s">
        <v>4</v>
      </c>
      <c r="C11" s="60"/>
      <c r="D11" s="12">
        <f>2100*C11*1.06*1.22*2.27</f>
        <v>0</v>
      </c>
      <c r="E11" s="55"/>
      <c r="F11" s="12">
        <f>2100*E11*1.06*1.22*1.65</f>
        <v>0</v>
      </c>
      <c r="G11" s="7"/>
      <c r="H11" s="23">
        <f>2100*G11*1.06*1.22*1.36</f>
        <v>0</v>
      </c>
      <c r="I11" s="110"/>
      <c r="J11" s="115"/>
      <c r="K11" s="116"/>
      <c r="L11" s="116"/>
      <c r="M11" s="117"/>
      <c r="N11" s="110"/>
    </row>
    <row r="12" spans="1:18" x14ac:dyDescent="0.25">
      <c r="A12" s="79"/>
      <c r="B12" s="10" t="s">
        <v>5</v>
      </c>
      <c r="C12" s="60"/>
      <c r="D12" s="12">
        <f>2100*C12*1.06*1.12*2.27</f>
        <v>0</v>
      </c>
      <c r="E12" s="55"/>
      <c r="F12" s="12">
        <f>2100*E12*1.06*1.12*1.65</f>
        <v>0</v>
      </c>
      <c r="G12" s="56">
        <v>0.81</v>
      </c>
      <c r="H12" s="46">
        <f>2100*G12*1.06*1.12*1.36</f>
        <v>2746.4209920000008</v>
      </c>
      <c r="I12" s="110"/>
      <c r="J12" s="115"/>
      <c r="K12" s="116"/>
      <c r="L12" s="116"/>
      <c r="M12" s="117"/>
      <c r="N12" s="110"/>
      <c r="R12" s="2"/>
    </row>
    <row r="13" spans="1:18" x14ac:dyDescent="0.25">
      <c r="A13" s="79"/>
      <c r="B13" s="10" t="s">
        <v>6</v>
      </c>
      <c r="C13" s="11"/>
      <c r="D13" s="12">
        <f>2100*C13*1.06*1.06*2.27</f>
        <v>0</v>
      </c>
      <c r="E13" s="55"/>
      <c r="F13" s="12">
        <f>2100*E13*1.06*1.06*1.65</f>
        <v>0</v>
      </c>
      <c r="G13" s="56"/>
      <c r="H13" s="23">
        <f>2100*G13*1.06*1.06*1.36</f>
        <v>0</v>
      </c>
      <c r="I13" s="110"/>
      <c r="J13" s="115"/>
      <c r="K13" s="116"/>
      <c r="L13" s="116"/>
      <c r="M13" s="117"/>
      <c r="N13" s="110"/>
    </row>
    <row r="14" spans="1:18" ht="15.75" thickBot="1" x14ac:dyDescent="0.3">
      <c r="A14" s="80"/>
      <c r="B14" s="15" t="s">
        <v>7</v>
      </c>
      <c r="C14" s="16"/>
      <c r="D14" s="17">
        <f>2100*C14*1.06*1*2.27</f>
        <v>0</v>
      </c>
      <c r="E14" s="61"/>
      <c r="F14" s="17">
        <f>2100*E14*1.06*1*1.65</f>
        <v>0</v>
      </c>
      <c r="G14" s="58"/>
      <c r="H14" s="24">
        <f>2100*G14*1.06*1*1.36</f>
        <v>0</v>
      </c>
      <c r="I14" s="110"/>
      <c r="J14" s="115"/>
      <c r="K14" s="116"/>
      <c r="L14" s="116"/>
      <c r="M14" s="117"/>
      <c r="N14" s="110"/>
    </row>
    <row r="15" spans="1:18" x14ac:dyDescent="0.25">
      <c r="A15" s="122" t="s">
        <v>19</v>
      </c>
      <c r="B15" s="123"/>
      <c r="C15" s="124"/>
      <c r="D15" s="124"/>
      <c r="E15" s="124"/>
      <c r="F15" s="124"/>
      <c r="G15" s="124"/>
      <c r="H15" s="124"/>
      <c r="I15" s="26" cm="1">
        <f t="array" ref="I15">SUM(C10:C14+E10:E14+G10:G14)</f>
        <v>1.03</v>
      </c>
      <c r="J15" s="115"/>
      <c r="K15" s="116"/>
      <c r="L15" s="116"/>
      <c r="M15" s="117"/>
      <c r="N15" s="110"/>
    </row>
    <row r="16" spans="1:18" ht="15.75" thickBot="1" x14ac:dyDescent="0.3">
      <c r="A16" s="125" t="s">
        <v>20</v>
      </c>
      <c r="B16" s="126"/>
      <c r="C16" s="127"/>
      <c r="D16" s="127"/>
      <c r="E16" s="127"/>
      <c r="F16" s="127"/>
      <c r="G16" s="127"/>
      <c r="H16" s="127"/>
      <c r="I16" s="28" cm="1">
        <f t="array" ref="I16">SUM(D10:D14+F10:F14+H10:H14)</f>
        <v>4202.7013560000014</v>
      </c>
      <c r="J16" s="115"/>
      <c r="K16" s="116"/>
      <c r="L16" s="116"/>
      <c r="M16" s="117"/>
      <c r="N16" s="110"/>
    </row>
    <row r="17" spans="1:20" x14ac:dyDescent="0.25">
      <c r="A17" s="81" t="s">
        <v>16</v>
      </c>
      <c r="B17" s="18" t="s">
        <v>3</v>
      </c>
      <c r="C17" s="19"/>
      <c r="D17" s="20">
        <f>2100*C17*3.68*1.31*2.27</f>
        <v>0</v>
      </c>
      <c r="E17" s="19"/>
      <c r="F17" s="20">
        <f>2100*E17*3.68*1.31*1.65</f>
        <v>0</v>
      </c>
      <c r="G17" s="19"/>
      <c r="H17" s="25">
        <f>2100*G17*3.68*1.31*1.36</f>
        <v>0</v>
      </c>
      <c r="I17" s="111"/>
      <c r="J17" s="115"/>
      <c r="K17" s="116"/>
      <c r="L17" s="116"/>
      <c r="M17" s="117"/>
      <c r="N17" s="110"/>
    </row>
    <row r="18" spans="1:20" x14ac:dyDescent="0.25">
      <c r="A18" s="82"/>
      <c r="B18" s="8" t="s">
        <v>4</v>
      </c>
      <c r="C18" s="9"/>
      <c r="D18" s="13">
        <f>2100*C18*3.68*1.22*2.27</f>
        <v>0</v>
      </c>
      <c r="E18" s="9"/>
      <c r="F18" s="13">
        <f>2100*E18*3.68*1.22*1.65</f>
        <v>0</v>
      </c>
      <c r="G18" s="9"/>
      <c r="H18" s="23">
        <f>2100*G18*3.68*1.22*1.36</f>
        <v>0</v>
      </c>
      <c r="I18" s="110"/>
      <c r="J18" s="115"/>
      <c r="K18" s="116"/>
      <c r="L18" s="116"/>
      <c r="M18" s="117"/>
      <c r="N18" s="110"/>
    </row>
    <row r="19" spans="1:20" x14ac:dyDescent="0.25">
      <c r="A19" s="82"/>
      <c r="B19" s="8" t="s">
        <v>5</v>
      </c>
      <c r="C19" s="9"/>
      <c r="D19" s="13">
        <f>2100*C19*3.68*1.12*2.27</f>
        <v>0</v>
      </c>
      <c r="E19" s="9"/>
      <c r="F19" s="13">
        <f>2100*E19*3.68*1.12*1.65</f>
        <v>0</v>
      </c>
      <c r="G19" s="9"/>
      <c r="H19" s="23">
        <f>2100*G19*3.68*1.12*1.36</f>
        <v>0</v>
      </c>
      <c r="I19" s="110"/>
      <c r="J19" s="115"/>
      <c r="K19" s="116"/>
      <c r="L19" s="116"/>
      <c r="M19" s="117"/>
      <c r="N19" s="110"/>
      <c r="T19" s="1"/>
    </row>
    <row r="20" spans="1:20" x14ac:dyDescent="0.25">
      <c r="A20" s="82"/>
      <c r="B20" s="8" t="s">
        <v>6</v>
      </c>
      <c r="C20" s="9"/>
      <c r="D20" s="13">
        <f>2100*C20*3.68*1.06*2.27</f>
        <v>0</v>
      </c>
      <c r="E20" s="9"/>
      <c r="F20" s="13">
        <f>2100*E20*3.68*1.06*1.65</f>
        <v>0</v>
      </c>
      <c r="G20" s="9"/>
      <c r="H20" s="23">
        <f>2100*G20*3.68*1.06*1.36</f>
        <v>0</v>
      </c>
      <c r="I20" s="110"/>
      <c r="J20" s="115"/>
      <c r="K20" s="116"/>
      <c r="L20" s="116"/>
      <c r="M20" s="117"/>
      <c r="N20" s="110"/>
    </row>
    <row r="21" spans="1:20" ht="15.75" thickBot="1" x14ac:dyDescent="0.3">
      <c r="A21" s="83"/>
      <c r="B21" s="47" t="s">
        <v>7</v>
      </c>
      <c r="C21" s="21"/>
      <c r="D21" s="22">
        <f>2100*C21*3.68*1*2.27</f>
        <v>0</v>
      </c>
      <c r="E21" s="21"/>
      <c r="F21" s="22">
        <f>2100*E21*3.68*1*1.65</f>
        <v>0</v>
      </c>
      <c r="G21" s="21"/>
      <c r="H21" s="24">
        <f>2100*G21*3.68*1*1.36</f>
        <v>0</v>
      </c>
      <c r="I21" s="110"/>
      <c r="J21" s="115"/>
      <c r="K21" s="116"/>
      <c r="L21" s="116"/>
      <c r="M21" s="117"/>
      <c r="N21" s="110"/>
    </row>
    <row r="22" spans="1:20" x14ac:dyDescent="0.25">
      <c r="A22" s="128" t="s">
        <v>21</v>
      </c>
      <c r="B22" s="129"/>
      <c r="C22" s="124"/>
      <c r="D22" s="124"/>
      <c r="E22" s="124"/>
      <c r="F22" s="124"/>
      <c r="G22" s="124"/>
      <c r="H22" s="124"/>
      <c r="I22" s="27"/>
      <c r="J22" s="115"/>
      <c r="K22" s="116"/>
      <c r="L22" s="116"/>
      <c r="M22" s="117"/>
      <c r="N22" s="110"/>
    </row>
    <row r="23" spans="1:20" ht="15.75" thickBot="1" x14ac:dyDescent="0.3">
      <c r="A23" s="130" t="s">
        <v>22</v>
      </c>
      <c r="B23" s="131"/>
      <c r="C23" s="132"/>
      <c r="D23" s="132"/>
      <c r="E23" s="132"/>
      <c r="F23" s="132"/>
      <c r="G23" s="132"/>
      <c r="H23" s="132"/>
      <c r="I23" s="37" cm="1">
        <f t="array" ref="I23">SUM(D17:D21+F17:F21+H17:H21)</f>
        <v>0</v>
      </c>
      <c r="J23" s="118"/>
      <c r="K23" s="119"/>
      <c r="L23" s="119"/>
      <c r="M23" s="119"/>
      <c r="N23" s="110"/>
    </row>
    <row r="24" spans="1:20" ht="15" customHeight="1" x14ac:dyDescent="0.25">
      <c r="A24" s="84" t="s">
        <v>2</v>
      </c>
      <c r="B24" s="18" t="s">
        <v>3</v>
      </c>
      <c r="C24" s="133"/>
      <c r="D24" s="134"/>
      <c r="E24" s="135"/>
      <c r="F24" s="135"/>
      <c r="G24" s="135"/>
      <c r="H24" s="136"/>
      <c r="I24" s="137"/>
      <c r="J24" s="6"/>
      <c r="K24" s="14">
        <f>2100*J24*1.33*1.31</f>
        <v>0</v>
      </c>
      <c r="L24" s="6"/>
      <c r="M24" s="29">
        <f>2100*L24*1.31</f>
        <v>0</v>
      </c>
      <c r="N24" s="110"/>
    </row>
    <row r="25" spans="1:20" x14ac:dyDescent="0.25">
      <c r="A25" s="79"/>
      <c r="B25" s="8" t="s">
        <v>4</v>
      </c>
      <c r="C25" s="138"/>
      <c r="D25" s="139"/>
      <c r="E25" s="139"/>
      <c r="F25" s="139"/>
      <c r="G25" s="139"/>
      <c r="H25" s="140"/>
      <c r="I25" s="141"/>
      <c r="J25" s="7"/>
      <c r="K25" s="12">
        <f>2100*J25*1.33*1.22</f>
        <v>0</v>
      </c>
      <c r="L25" s="7"/>
      <c r="M25" s="23">
        <f>2100*L25*1.22</f>
        <v>0</v>
      </c>
      <c r="N25" s="110"/>
      <c r="R25" s="3"/>
    </row>
    <row r="26" spans="1:20" x14ac:dyDescent="0.25">
      <c r="A26" s="79"/>
      <c r="B26" s="8" t="s">
        <v>5</v>
      </c>
      <c r="C26" s="138"/>
      <c r="D26" s="139"/>
      <c r="E26" s="139"/>
      <c r="F26" s="139"/>
      <c r="G26" s="139"/>
      <c r="H26" s="140"/>
      <c r="I26" s="141"/>
      <c r="J26" s="7"/>
      <c r="K26" s="12">
        <f>2100*J26*1.33*1.12</f>
        <v>0</v>
      </c>
      <c r="L26" s="7"/>
      <c r="M26" s="23">
        <f>2100*L26*1.12</f>
        <v>0</v>
      </c>
      <c r="N26" s="110"/>
    </row>
    <row r="27" spans="1:20" x14ac:dyDescent="0.25">
      <c r="A27" s="79"/>
      <c r="B27" s="8" t="s">
        <v>6</v>
      </c>
      <c r="C27" s="138"/>
      <c r="D27" s="139"/>
      <c r="E27" s="139"/>
      <c r="F27" s="139"/>
      <c r="G27" s="139"/>
      <c r="H27" s="140"/>
      <c r="I27" s="141"/>
      <c r="J27" s="11"/>
      <c r="K27" s="12">
        <f>2100*J27*1.33*1.06</f>
        <v>0</v>
      </c>
      <c r="L27" s="56"/>
      <c r="M27" s="23">
        <f>2100*L27*1.06</f>
        <v>0</v>
      </c>
      <c r="N27" s="110"/>
    </row>
    <row r="28" spans="1:20" ht="15.75" thickBot="1" x14ac:dyDescent="0.3">
      <c r="A28" s="85"/>
      <c r="B28" s="48" t="s">
        <v>7</v>
      </c>
      <c r="C28" s="142"/>
      <c r="D28" s="143"/>
      <c r="E28" s="143"/>
      <c r="F28" s="143"/>
      <c r="G28" s="143"/>
      <c r="H28" s="144"/>
      <c r="I28" s="145"/>
      <c r="J28" s="49"/>
      <c r="K28" s="50">
        <f>2100*J28*1.33</f>
        <v>0</v>
      </c>
      <c r="L28" s="49"/>
      <c r="M28" s="51">
        <f>L28*2100</f>
        <v>0</v>
      </c>
      <c r="N28" s="121"/>
    </row>
    <row r="29" spans="1:20" x14ac:dyDescent="0.25">
      <c r="A29" s="86" t="s">
        <v>25</v>
      </c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40"/>
    </row>
    <row r="30" spans="1:20" ht="15.75" thickBot="1" x14ac:dyDescent="0.3">
      <c r="A30" s="88" t="s">
        <v>26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41" cm="1">
        <f t="array" ref="N30">SUM(K24:K28+M24:M28)</f>
        <v>0</v>
      </c>
    </row>
    <row r="31" spans="1:20" ht="15.75" thickBot="1" x14ac:dyDescent="0.3">
      <c r="A31" s="90" t="s">
        <v>27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2"/>
      <c r="N31" s="42">
        <f>SUM(I15+I22+N29)</f>
        <v>1.03</v>
      </c>
    </row>
    <row r="32" spans="1:20" ht="15.75" thickBot="1" x14ac:dyDescent="0.3">
      <c r="A32" s="93" t="s">
        <v>33</v>
      </c>
      <c r="B32" s="94"/>
      <c r="C32" s="94"/>
      <c r="D32" s="94"/>
      <c r="E32" s="91"/>
      <c r="F32" s="91"/>
      <c r="G32" s="91"/>
      <c r="H32" s="91"/>
      <c r="I32" s="91"/>
      <c r="J32" s="91"/>
      <c r="K32" s="91"/>
      <c r="L32" s="91"/>
      <c r="M32" s="92"/>
      <c r="N32" s="43">
        <f>SUM(I16+I23+N30)</f>
        <v>4202.7013560000014</v>
      </c>
    </row>
    <row r="33" spans="1:13" ht="19.5" thickBot="1" x14ac:dyDescent="0.35">
      <c r="A33" s="95" t="s">
        <v>32</v>
      </c>
      <c r="B33" s="94"/>
      <c r="C33" s="94"/>
      <c r="D33" s="62">
        <v>0.13400000000000001</v>
      </c>
      <c r="E33" s="4"/>
      <c r="F33" s="4"/>
      <c r="G33" s="4"/>
      <c r="H33" s="4"/>
      <c r="I33" s="4"/>
      <c r="J33" s="4"/>
      <c r="K33" s="4"/>
      <c r="L33" s="4"/>
      <c r="M33" s="4"/>
    </row>
    <row r="34" spans="1:13" ht="19.5" thickBot="1" x14ac:dyDescent="0.35">
      <c r="A34" s="146" t="s">
        <v>28</v>
      </c>
      <c r="B34" s="68"/>
      <c r="C34" s="147"/>
      <c r="D34" s="63">
        <f>2100*D33*0.97</f>
        <v>272.95800000000003</v>
      </c>
      <c r="E34" s="4"/>
      <c r="F34" s="4"/>
      <c r="G34" s="4"/>
      <c r="H34" s="4"/>
      <c r="I34" s="4"/>
      <c r="J34" s="4"/>
      <c r="K34" s="4"/>
      <c r="L34" s="4"/>
      <c r="M34" s="4"/>
    </row>
    <row r="35" spans="1:13" ht="18.75" x14ac:dyDescent="0.3">
      <c r="A35" s="39" t="s">
        <v>29</v>
      </c>
      <c r="B35" s="4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ht="19.5" thickBot="1" x14ac:dyDescent="0.35">
      <c r="A36" s="38" t="s">
        <v>30</v>
      </c>
      <c r="B36" s="52">
        <f>18*B35</f>
        <v>0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ht="24" customHeight="1" thickBot="1" x14ac:dyDescent="0.35">
      <c r="A37" s="98" t="s">
        <v>31</v>
      </c>
      <c r="B37" s="99"/>
      <c r="C37" s="99"/>
      <c r="D37" s="99"/>
      <c r="E37" s="99"/>
      <c r="F37" s="99"/>
      <c r="G37" s="99"/>
      <c r="H37" s="99"/>
      <c r="I37" s="45">
        <f>SUM(N32+D34+B36)</f>
        <v>4475.659356000001</v>
      </c>
      <c r="J37" s="5"/>
      <c r="K37" s="5"/>
      <c r="L37" s="5"/>
      <c r="M37" s="5"/>
    </row>
    <row r="38" spans="1:13" ht="48" customHeight="1" thickBot="1" x14ac:dyDescent="0.3">
      <c r="A38" s="100" t="s">
        <v>40</v>
      </c>
      <c r="B38" s="100"/>
      <c r="C38" s="100"/>
      <c r="D38" s="100"/>
      <c r="E38" s="100"/>
      <c r="F38" s="100"/>
      <c r="G38" s="100"/>
      <c r="H38" s="100"/>
      <c r="I38" s="100"/>
    </row>
    <row r="39" spans="1:13" ht="33.75" customHeight="1" thickBot="1" x14ac:dyDescent="0.3">
      <c r="A39" s="96" t="s">
        <v>39</v>
      </c>
      <c r="B39" s="97"/>
      <c r="C39" s="97"/>
      <c r="D39" s="97"/>
      <c r="E39" s="97"/>
      <c r="F39" s="97"/>
      <c r="G39" s="97"/>
      <c r="H39" s="54"/>
      <c r="I39" s="45">
        <f>I37/12*H39</f>
        <v>0</v>
      </c>
    </row>
    <row r="41" spans="1:13" x14ac:dyDescent="0.25">
      <c r="K41" s="53"/>
    </row>
  </sheetData>
  <mergeCells count="32">
    <mergeCell ref="A39:G39"/>
    <mergeCell ref="A37:H37"/>
    <mergeCell ref="A38:I38"/>
    <mergeCell ref="C8:I8"/>
    <mergeCell ref="C7:N7"/>
    <mergeCell ref="J8:N8"/>
    <mergeCell ref="I10:I14"/>
    <mergeCell ref="I17:I21"/>
    <mergeCell ref="J10:M23"/>
    <mergeCell ref="N10:N28"/>
    <mergeCell ref="A15:H15"/>
    <mergeCell ref="A16:H16"/>
    <mergeCell ref="A22:H22"/>
    <mergeCell ref="A23:H23"/>
    <mergeCell ref="C24:I28"/>
    <mergeCell ref="A34:C34"/>
    <mergeCell ref="A29:M29"/>
    <mergeCell ref="A30:M30"/>
    <mergeCell ref="A31:M31"/>
    <mergeCell ref="A32:M32"/>
    <mergeCell ref="A33:C33"/>
    <mergeCell ref="B7:B9"/>
    <mergeCell ref="A7:A9"/>
    <mergeCell ref="A10:A14"/>
    <mergeCell ref="A17:A21"/>
    <mergeCell ref="A24:A28"/>
    <mergeCell ref="A5:N5"/>
    <mergeCell ref="A6:N6"/>
    <mergeCell ref="A1:N1"/>
    <mergeCell ref="A2:N2"/>
    <mergeCell ref="A3:N3"/>
    <mergeCell ref="A4:N4"/>
  </mergeCells>
  <pageMargins left="0.51181102362204722" right="0.51181102362204722" top="0.55118110236220474" bottom="0.55118110236220474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Kuno Männik</dc:creator>
  <cp:lastModifiedBy>Kuno Männik</cp:lastModifiedBy>
  <cp:lastPrinted>2021-03-23T14:28:51Z</cp:lastPrinted>
  <dcterms:created xsi:type="dcterms:W3CDTF">2021-03-22T12:53:08Z</dcterms:created>
  <dcterms:modified xsi:type="dcterms:W3CDTF">2025-12-22T14:57:26Z</dcterms:modified>
</cp:coreProperties>
</file>